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\Desktop\2022\EDITAIS\"/>
    </mc:Choice>
  </mc:AlternateContent>
  <xr:revisionPtr revIDLastSave="0" documentId="8_{C19A4D30-037F-4302-BC1E-031E28565D36}" xr6:coauthVersionLast="47" xr6:coauthVersionMax="47" xr10:uidLastSave="{00000000-0000-0000-0000-000000000000}"/>
  <bookViews>
    <workbookView xWindow="-120" yWindow="-120" windowWidth="20730" windowHeight="11160" xr2:uid="{77F92F7E-E763-4E74-905F-45007C22DC09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 l="1"/>
  <c r="E27" i="1"/>
  <c r="G27" i="1" s="1"/>
  <c r="F23" i="1"/>
  <c r="B20" i="1"/>
  <c r="B51" i="1" s="1"/>
  <c r="E11" i="1"/>
  <c r="E10" i="1"/>
  <c r="B40" i="1" s="1"/>
  <c r="B42" i="1" s="1"/>
  <c r="B43" i="1" s="1"/>
  <c r="E4" i="1"/>
  <c r="F51" i="1" l="1"/>
  <c r="H27" i="1"/>
  <c r="B35" i="1" s="1"/>
  <c r="B21" i="1"/>
  <c r="B23" i="1" l="1"/>
  <c r="C51" i="1"/>
  <c r="E51" i="1"/>
  <c r="B36" i="1"/>
  <c r="B37" i="1" s="1"/>
  <c r="B44" i="1" l="1"/>
  <c r="A51" i="1" s="1"/>
  <c r="E52" i="1" l="1"/>
  <c r="C52" i="1"/>
  <c r="B45" i="1"/>
  <c r="D51" i="1" s="1"/>
  <c r="D52" i="1" s="1"/>
  <c r="B46" i="1"/>
  <c r="D46" i="1" s="1"/>
  <c r="G51" i="1"/>
  <c r="G52" i="1" s="1"/>
  <c r="B52" i="1"/>
  <c r="F52" i="1"/>
  <c r="B47" i="1" l="1"/>
  <c r="D47" i="1" s="1"/>
  <c r="D48" i="1" s="1"/>
  <c r="C46" i="1"/>
  <c r="B48" i="1" l="1"/>
  <c r="C47" i="1"/>
  <c r="C48" i="1" s="1"/>
  <c r="C58" i="1" s="1"/>
</calcChain>
</file>

<file path=xl/sharedStrings.xml><?xml version="1.0" encoding="utf-8"?>
<sst xmlns="http://schemas.openxmlformats.org/spreadsheetml/2006/main" count="63" uniqueCount="60">
  <si>
    <t>ITINERÁRIO IX - 2022</t>
  </si>
  <si>
    <t>TURNO</t>
  </si>
  <si>
    <t>MANHÃ</t>
  </si>
  <si>
    <t>TARDE</t>
  </si>
  <si>
    <t>NOITE</t>
  </si>
  <si>
    <t>TOTAL</t>
  </si>
  <si>
    <t>ALUNOS</t>
  </si>
  <si>
    <t>km pavimentado</t>
  </si>
  <si>
    <t>Km s/ pavimentação</t>
  </si>
  <si>
    <t>Km total</t>
  </si>
  <si>
    <t>Tempo conduzindo o veículo</t>
  </si>
  <si>
    <t>Tempo de espera</t>
  </si>
  <si>
    <t>Tempo total (horas)</t>
  </si>
  <si>
    <t xml:space="preserve">R$ seguro / aluno / mes </t>
  </si>
  <si>
    <t>Veículo</t>
  </si>
  <si>
    <t>R$ Veículo no máximo 15 anos de uso (2005)</t>
  </si>
  <si>
    <t>R$ combustível</t>
  </si>
  <si>
    <t>Km/litro</t>
  </si>
  <si>
    <t>Relação combustível/manutenção</t>
  </si>
  <si>
    <t>Média de dias letivos</t>
  </si>
  <si>
    <t>CUSTO VARIÁVEL</t>
  </si>
  <si>
    <t>COMBUSTÍVEL</t>
  </si>
  <si>
    <t>PRESUMIDO</t>
  </si>
  <si>
    <t>MANUTENÇÃO</t>
  </si>
  <si>
    <t>SIMPLES NACIONAL</t>
  </si>
  <si>
    <t>TOTAL (Comb + Manut)</t>
  </si>
  <si>
    <t>TOTAL IMPOSTOS</t>
  </si>
  <si>
    <t>CUSTO FIXO</t>
  </si>
  <si>
    <t>SALÁRIO</t>
  </si>
  <si>
    <t>13º S.8,33</t>
  </si>
  <si>
    <t>Férias 11,11%</t>
  </si>
  <si>
    <t>FGTS</t>
  </si>
  <si>
    <t>SEGURO OBRIGATÓRIO</t>
  </si>
  <si>
    <t>LICENCIAMENTO</t>
  </si>
  <si>
    <t>ESCRITÓRIO</t>
  </si>
  <si>
    <t>VISTORIA</t>
  </si>
  <si>
    <t>DEPRECIAÇÃO/C. CAPITAL</t>
  </si>
  <si>
    <t>SEGURO ALUNOS TOTAL</t>
  </si>
  <si>
    <t>QUANT, DE MOTORISTAS</t>
  </si>
  <si>
    <t>MOTORISTA</t>
  </si>
  <si>
    <t>TOTAL GASTOS FIXOS</t>
  </si>
  <si>
    <t>FIXO MENSAL</t>
  </si>
  <si>
    <t>DEFINIÇÃO DO PREÇO</t>
  </si>
  <si>
    <t>TAXA USO VEÍCULO</t>
  </si>
  <si>
    <t>RETORNO INVESTIMENTO</t>
  </si>
  <si>
    <t>LUCRO</t>
  </si>
  <si>
    <t>LUCRO MÊS</t>
  </si>
  <si>
    <t>PREÇO</t>
  </si>
  <si>
    <t>IMPOSTOS</t>
  </si>
  <si>
    <t>Viagem</t>
  </si>
  <si>
    <t>Mensal</t>
  </si>
  <si>
    <t>PREÇO/Km Simples</t>
  </si>
  <si>
    <r>
      <t>¹</t>
    </r>
    <r>
      <rPr>
        <b/>
        <sz val="12"/>
        <rFont val="Arial"/>
        <family val="2"/>
      </rPr>
      <t>Sem Pavimentação</t>
    </r>
  </si>
  <si>
    <t>PREÇO/Km TOTAL</t>
  </si>
  <si>
    <t>PREÇO / %</t>
  </si>
  <si>
    <t>COMB</t>
  </si>
  <si>
    <t>MANUT</t>
  </si>
  <si>
    <t>MOTORIS</t>
  </si>
  <si>
    <t>OUTROS</t>
  </si>
  <si>
    <t xml:space="preserve">d)     Valor máximo por viagem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</si>
</sst>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b/>
      <sz val="12"/>
      <name val="Symbol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/>
    <xf numFmtId="0" fontId="3" fillId="3" borderId="2" xfId="0" applyFont="1" applyFill="1" applyBorder="1" applyAlignment="1">
      <alignment horizontal="center"/>
    </xf>
    <xf numFmtId="1" fontId="3" fillId="0" borderId="0" xfId="0" applyNumberFormat="1" applyFont="1"/>
    <xf numFmtId="4" fontId="3" fillId="4" borderId="2" xfId="0" applyNumberFormat="1" applyFont="1" applyFill="1" applyBorder="1" applyAlignment="1">
      <alignment horizontal="center"/>
    </xf>
    <xf numFmtId="0" fontId="3" fillId="0" borderId="2" xfId="0" applyFont="1" applyBorder="1"/>
    <xf numFmtId="4" fontId="3" fillId="3" borderId="2" xfId="0" applyNumberFormat="1" applyFont="1" applyFill="1" applyBorder="1"/>
    <xf numFmtId="164" fontId="3" fillId="0" borderId="2" xfId="3" applyFont="1" applyBorder="1"/>
    <xf numFmtId="10" fontId="3" fillId="3" borderId="2" xfId="0" applyNumberFormat="1" applyFont="1" applyFill="1" applyBorder="1"/>
    <xf numFmtId="0" fontId="5" fillId="0" borderId="0" xfId="0" applyFont="1"/>
    <xf numFmtId="0" fontId="5" fillId="0" borderId="2" xfId="0" applyFont="1" applyBorder="1"/>
    <xf numFmtId="10" fontId="5" fillId="3" borderId="2" xfId="0" applyNumberFormat="1" applyFont="1" applyFill="1" applyBorder="1"/>
    <xf numFmtId="4" fontId="2" fillId="0" borderId="2" xfId="0" applyNumberFormat="1" applyFont="1" applyBorder="1"/>
    <xf numFmtId="10" fontId="3" fillId="0" borderId="2" xfId="0" applyNumberFormat="1" applyFont="1" applyBorder="1"/>
    <xf numFmtId="4" fontId="3" fillId="0" borderId="0" xfId="0" applyNumberFormat="1" applyFont="1"/>
    <xf numFmtId="0" fontId="5" fillId="0" borderId="6" xfId="0" applyFont="1" applyBorder="1"/>
    <xf numFmtId="4" fontId="5" fillId="4" borderId="6" xfId="0" applyNumberFormat="1" applyFont="1" applyFill="1" applyBorder="1"/>
    <xf numFmtId="4" fontId="3" fillId="3" borderId="2" xfId="0" applyNumberFormat="1" applyFont="1" applyFill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vertical="center" wrapText="1"/>
    </xf>
    <xf numFmtId="4" fontId="3" fillId="4" borderId="2" xfId="0" applyNumberFormat="1" applyFont="1" applyFill="1" applyBorder="1"/>
    <xf numFmtId="4" fontId="3" fillId="0" borderId="2" xfId="0" applyNumberFormat="1" applyFont="1" applyBorder="1"/>
    <xf numFmtId="2" fontId="3" fillId="0" borderId="2" xfId="0" applyNumberFormat="1" applyFont="1" applyBorder="1"/>
    <xf numFmtId="0" fontId="3" fillId="3" borderId="2" xfId="0" applyFont="1" applyFill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5" fontId="2" fillId="0" borderId="2" xfId="4" applyFont="1" applyBorder="1"/>
    <xf numFmtId="0" fontId="6" fillId="0" borderId="0" xfId="0" applyFont="1"/>
    <xf numFmtId="4" fontId="2" fillId="5" borderId="2" xfId="0" applyNumberFormat="1" applyFont="1" applyFill="1" applyBorder="1"/>
    <xf numFmtId="0" fontId="2" fillId="6" borderId="2" xfId="0" applyFont="1" applyFill="1" applyBorder="1" applyAlignment="1">
      <alignment horizontal="center"/>
    </xf>
    <xf numFmtId="4" fontId="3" fillId="6" borderId="2" xfId="0" applyNumberFormat="1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10" fontId="3" fillId="6" borderId="2" xfId="2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4" fontId="3" fillId="5" borderId="0" xfId="1" applyFont="1" applyFill="1"/>
    <xf numFmtId="2" fontId="3" fillId="3" borderId="2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9" fontId="3" fillId="0" borderId="0" xfId="0" applyNumberFormat="1" applyFont="1" applyAlignment="1">
      <alignment horizontal="left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5">
    <cellStyle name="Moeda" xfId="1" builtinId="4"/>
    <cellStyle name="Moeda 2" xfId="4" xr:uid="{949D20C3-1F89-487B-BE42-56313F820EB0}"/>
    <cellStyle name="Normal" xfId="0" builtinId="0"/>
    <cellStyle name="Porcentagem" xfId="2" builtinId="5"/>
    <cellStyle name="Separador de milhares 2" xfId="3" xr:uid="{F237FE2D-9996-4FF0-86A1-ACE4FD033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27</xdr:row>
      <xdr:rowOff>177800</xdr:rowOff>
    </xdr:from>
    <xdr:to>
      <xdr:col>4</xdr:col>
      <xdr:colOff>762551</xdr:colOff>
      <xdr:row>31</xdr:row>
      <xdr:rowOff>90729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544094D-7085-4205-B340-A4B2547AD3C1}"/>
            </a:ext>
          </a:extLst>
        </xdr:cNvPr>
        <xdr:cNvSpPr txBox="1"/>
      </xdr:nvSpPr>
      <xdr:spPr>
        <a:xfrm>
          <a:off x="3838575" y="5387975"/>
          <a:ext cx="1867451" cy="6749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B298B-0CA9-4F56-B6AC-1D69DE41652F}">
  <dimension ref="A1:H58"/>
  <sheetViews>
    <sheetView tabSelected="1" workbookViewId="0">
      <selection activeCell="E7" sqref="E7"/>
    </sheetView>
  </sheetViews>
  <sheetFormatPr defaultRowHeight="15" x14ac:dyDescent="0.25"/>
  <cols>
    <col min="1" max="1" width="32.85546875" bestFit="1" customWidth="1"/>
    <col min="2" max="2" width="11.5703125" bestFit="1" customWidth="1"/>
    <col min="3" max="3" width="15.5703125" bestFit="1" customWidth="1"/>
    <col min="4" max="4" width="16.5703125" bestFit="1" customWidth="1"/>
    <col min="5" max="5" width="23.5703125" bestFit="1" customWidth="1"/>
    <col min="6" max="6" width="16.140625" bestFit="1" customWidth="1"/>
    <col min="8" max="8" width="10.140625" bestFit="1" customWidth="1"/>
  </cols>
  <sheetData>
    <row r="1" spans="1:8" ht="15.75" x14ac:dyDescent="0.25">
      <c r="A1" s="44" t="s">
        <v>0</v>
      </c>
      <c r="B1" s="45"/>
      <c r="C1" s="45"/>
      <c r="D1" s="45"/>
      <c r="E1" s="45"/>
      <c r="F1" s="45"/>
      <c r="G1" s="45"/>
      <c r="H1" s="45"/>
    </row>
    <row r="2" spans="1:8" ht="15.75" x14ac:dyDescent="0.25">
      <c r="A2" s="1"/>
      <c r="B2" s="1"/>
      <c r="C2" s="1"/>
      <c r="D2" s="1"/>
      <c r="E2" s="1"/>
      <c r="F2" s="1"/>
      <c r="G2" s="1"/>
    </row>
    <row r="3" spans="1:8" ht="15.75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/>
      <c r="G3" s="4"/>
    </row>
    <row r="4" spans="1:8" ht="15.75" x14ac:dyDescent="0.25">
      <c r="A4" s="2" t="s">
        <v>6</v>
      </c>
      <c r="B4" s="5">
        <v>15</v>
      </c>
      <c r="C4" s="5">
        <v>4</v>
      </c>
      <c r="D4" s="5">
        <v>0</v>
      </c>
      <c r="E4" s="5">
        <f>SUM(B4:D4)</f>
        <v>19</v>
      </c>
      <c r="F4" s="4"/>
      <c r="G4" s="4"/>
    </row>
    <row r="5" spans="1:8" ht="15.75" x14ac:dyDescent="0.25">
      <c r="A5" s="41" t="s">
        <v>7</v>
      </c>
      <c r="B5" s="42"/>
      <c r="C5" s="42"/>
      <c r="D5" s="43"/>
      <c r="E5" s="5">
        <v>20</v>
      </c>
      <c r="F5" s="4"/>
      <c r="G5" s="4"/>
    </row>
    <row r="6" spans="1:8" ht="15.75" x14ac:dyDescent="0.25">
      <c r="A6" s="41" t="s">
        <v>8</v>
      </c>
      <c r="B6" s="42"/>
      <c r="C6" s="42"/>
      <c r="D6" s="43"/>
      <c r="E6" s="5">
        <v>84</v>
      </c>
      <c r="F6" s="4"/>
      <c r="G6" s="4"/>
    </row>
    <row r="7" spans="1:8" ht="15.75" x14ac:dyDescent="0.25">
      <c r="A7" s="41" t="s">
        <v>9</v>
      </c>
      <c r="B7" s="42"/>
      <c r="C7" s="42"/>
      <c r="D7" s="43"/>
      <c r="E7" s="3">
        <v>104</v>
      </c>
      <c r="F7" s="4"/>
      <c r="G7" s="4"/>
    </row>
    <row r="8" spans="1:8" ht="15.75" x14ac:dyDescent="0.25">
      <c r="A8" s="41" t="s">
        <v>10</v>
      </c>
      <c r="B8" s="42"/>
      <c r="C8" s="42"/>
      <c r="D8" s="43"/>
      <c r="E8" s="5">
        <v>3</v>
      </c>
      <c r="F8" s="4"/>
      <c r="G8" s="4"/>
    </row>
    <row r="9" spans="1:8" ht="15.75" x14ac:dyDescent="0.25">
      <c r="A9" s="41" t="s">
        <v>11</v>
      </c>
      <c r="B9" s="42"/>
      <c r="C9" s="42"/>
      <c r="D9" s="43"/>
      <c r="E9" s="5">
        <v>4</v>
      </c>
      <c r="F9" s="4"/>
      <c r="G9" s="4"/>
    </row>
    <row r="10" spans="1:8" ht="15.75" x14ac:dyDescent="0.25">
      <c r="A10" s="41" t="s">
        <v>12</v>
      </c>
      <c r="B10" s="42"/>
      <c r="C10" s="42"/>
      <c r="D10" s="43"/>
      <c r="E10" s="3">
        <f>E9/2+E8</f>
        <v>5</v>
      </c>
      <c r="F10" s="4"/>
      <c r="G10" s="4"/>
      <c r="H10" s="6"/>
    </row>
    <row r="11" spans="1:8" ht="15.75" x14ac:dyDescent="0.25">
      <c r="A11" s="41" t="s">
        <v>13</v>
      </c>
      <c r="B11" s="42"/>
      <c r="C11" s="42"/>
      <c r="D11" s="43"/>
      <c r="E11" s="7">
        <f>B33/12/E4</f>
        <v>10.964912280701755</v>
      </c>
      <c r="F11" s="4"/>
      <c r="G11" s="4"/>
      <c r="H11" s="6"/>
    </row>
    <row r="12" spans="1:8" ht="15.75" x14ac:dyDescent="0.25">
      <c r="A12" s="8" t="s">
        <v>14</v>
      </c>
      <c r="B12" s="47"/>
      <c r="C12" s="48"/>
      <c r="D12" s="48"/>
      <c r="E12" s="49"/>
      <c r="F12" s="4"/>
      <c r="G12" s="4"/>
      <c r="H12" s="6"/>
    </row>
    <row r="13" spans="1:8" ht="15.75" x14ac:dyDescent="0.25">
      <c r="A13" s="41" t="s">
        <v>15</v>
      </c>
      <c r="B13" s="50"/>
      <c r="C13" s="50"/>
      <c r="D13" s="51"/>
      <c r="E13" s="9">
        <v>45000</v>
      </c>
      <c r="F13" s="4"/>
      <c r="G13" s="4"/>
    </row>
    <row r="14" spans="1:8" ht="15.75" x14ac:dyDescent="0.25">
      <c r="A14" s="41" t="s">
        <v>16</v>
      </c>
      <c r="B14" s="42"/>
      <c r="C14" s="42"/>
      <c r="D14" s="43"/>
      <c r="E14" s="5">
        <v>7.29</v>
      </c>
      <c r="F14" s="4"/>
      <c r="G14" s="4"/>
    </row>
    <row r="15" spans="1:8" ht="15.75" x14ac:dyDescent="0.25">
      <c r="A15" s="41" t="s">
        <v>17</v>
      </c>
      <c r="B15" s="42"/>
      <c r="C15" s="42"/>
      <c r="D15" s="43"/>
      <c r="E15" s="40">
        <v>4</v>
      </c>
      <c r="F15" s="4"/>
      <c r="G15" s="4"/>
    </row>
    <row r="16" spans="1:8" ht="15.75" x14ac:dyDescent="0.25">
      <c r="A16" s="41" t="s">
        <v>18</v>
      </c>
      <c r="B16" s="42"/>
      <c r="C16" s="42"/>
      <c r="D16" s="43"/>
      <c r="E16" s="40">
        <v>0.7</v>
      </c>
      <c r="F16" s="4"/>
      <c r="G16" s="4"/>
    </row>
    <row r="17" spans="1:8" ht="15.75" x14ac:dyDescent="0.25">
      <c r="A17" s="41" t="s">
        <v>19</v>
      </c>
      <c r="B17" s="42"/>
      <c r="C17" s="42"/>
      <c r="D17" s="43"/>
      <c r="E17" s="5">
        <v>21</v>
      </c>
      <c r="F17" s="4"/>
      <c r="G17" s="4"/>
    </row>
    <row r="18" spans="1:8" ht="15.75" x14ac:dyDescent="0.25">
      <c r="A18" s="4"/>
      <c r="B18" s="4"/>
      <c r="C18" s="4"/>
      <c r="D18" s="4"/>
      <c r="E18" s="4"/>
      <c r="F18" s="4"/>
      <c r="G18" s="4"/>
    </row>
    <row r="19" spans="1:8" ht="15.75" x14ac:dyDescent="0.25">
      <c r="A19" s="52" t="s">
        <v>20</v>
      </c>
      <c r="B19" s="53"/>
      <c r="C19" s="53"/>
      <c r="D19" s="53"/>
      <c r="E19" s="53"/>
      <c r="F19" s="54"/>
      <c r="G19" s="4"/>
    </row>
    <row r="20" spans="1:8" ht="15.75" x14ac:dyDescent="0.25">
      <c r="A20" s="8" t="s">
        <v>21</v>
      </c>
      <c r="B20" s="10">
        <f>(E17*E7*E14)/E15</f>
        <v>3980.34</v>
      </c>
      <c r="C20" s="8"/>
      <c r="D20" s="8"/>
      <c r="E20" s="8" t="s">
        <v>22</v>
      </c>
      <c r="F20" s="11">
        <v>0</v>
      </c>
      <c r="G20" s="12"/>
    </row>
    <row r="21" spans="1:8" ht="15.75" x14ac:dyDescent="0.25">
      <c r="A21" s="8" t="s">
        <v>23</v>
      </c>
      <c r="B21" s="10">
        <f>E16*B20</f>
        <v>2786.2379999999998</v>
      </c>
      <c r="C21" s="8"/>
      <c r="D21" s="8"/>
      <c r="E21" s="8" t="s">
        <v>24</v>
      </c>
      <c r="F21" s="11">
        <v>0.06</v>
      </c>
      <c r="G21" s="12"/>
    </row>
    <row r="22" spans="1:8" ht="15.75" x14ac:dyDescent="0.25">
      <c r="A22" s="8"/>
      <c r="B22" s="4"/>
      <c r="C22" s="8"/>
      <c r="D22" s="8"/>
      <c r="E22" s="13"/>
      <c r="F22" s="14"/>
      <c r="G22" s="4"/>
    </row>
    <row r="23" spans="1:8" ht="15.75" x14ac:dyDescent="0.25">
      <c r="A23" s="3" t="s">
        <v>25</v>
      </c>
      <c r="B23" s="15">
        <f>SUM(B20:B21)</f>
        <v>6766.5779999999995</v>
      </c>
      <c r="C23" s="4"/>
      <c r="D23" s="4"/>
      <c r="E23" s="8" t="s">
        <v>26</v>
      </c>
      <c r="F23" s="16">
        <f>SUM(F20:F22)</f>
        <v>0.06</v>
      </c>
      <c r="G23" s="4"/>
    </row>
    <row r="24" spans="1:8" ht="15.75" x14ac:dyDescent="0.25">
      <c r="A24" s="1"/>
      <c r="B24" s="17"/>
      <c r="C24" s="4"/>
      <c r="D24" s="4"/>
      <c r="E24" s="4"/>
      <c r="F24" s="4"/>
      <c r="G24" s="4"/>
    </row>
    <row r="25" spans="1:8" ht="15.75" x14ac:dyDescent="0.25">
      <c r="A25" s="52" t="s">
        <v>27</v>
      </c>
      <c r="B25" s="53"/>
      <c r="C25" s="53"/>
      <c r="D25" s="53"/>
      <c r="E25" s="53"/>
      <c r="F25" s="53"/>
      <c r="G25" s="53"/>
      <c r="H25" s="54"/>
    </row>
    <row r="26" spans="1:8" ht="15.75" x14ac:dyDescent="0.25">
      <c r="A26" s="18"/>
      <c r="B26" s="19"/>
      <c r="C26" s="4"/>
      <c r="D26" s="3" t="s">
        <v>28</v>
      </c>
      <c r="E26" s="3" t="s">
        <v>29</v>
      </c>
      <c r="F26" s="3" t="s">
        <v>30</v>
      </c>
      <c r="G26" s="3" t="s">
        <v>31</v>
      </c>
      <c r="H26" s="3" t="s">
        <v>5</v>
      </c>
    </row>
    <row r="27" spans="1:8" ht="15.75" x14ac:dyDescent="0.25">
      <c r="A27" s="8" t="s">
        <v>32</v>
      </c>
      <c r="B27" s="9">
        <v>400</v>
      </c>
      <c r="C27" s="4"/>
      <c r="D27" s="20">
        <v>2070.27</v>
      </c>
      <c r="E27" s="21">
        <f>D27*0.0833</f>
        <v>172.45349099999999</v>
      </c>
      <c r="F27" s="21">
        <f>D27*0.1111</f>
        <v>230.00699700000001</v>
      </c>
      <c r="G27" s="21">
        <f>(D27+E27+F27)*0.08</f>
        <v>197.81843903999999</v>
      </c>
      <c r="H27" s="22">
        <f>SUM(D27:G27)</f>
        <v>2670.5489270399999</v>
      </c>
    </row>
    <row r="28" spans="1:8" ht="15.75" x14ac:dyDescent="0.25">
      <c r="A28" s="8" t="s">
        <v>33</v>
      </c>
      <c r="B28" s="9">
        <v>80</v>
      </c>
      <c r="C28" s="4"/>
      <c r="D28" s="4"/>
      <c r="E28" s="4"/>
      <c r="F28" s="4"/>
      <c r="G28" s="4"/>
      <c r="H28" s="4"/>
    </row>
    <row r="29" spans="1:8" ht="15.75" x14ac:dyDescent="0.25">
      <c r="A29" s="8" t="s">
        <v>34</v>
      </c>
      <c r="B29" s="9">
        <v>6680</v>
      </c>
      <c r="C29" s="4"/>
      <c r="D29" s="23"/>
      <c r="E29" s="23"/>
      <c r="F29" s="23"/>
      <c r="G29" s="4"/>
      <c r="H29" s="4"/>
    </row>
    <row r="30" spans="1:8" ht="15.75" x14ac:dyDescent="0.25">
      <c r="A30" s="8" t="s">
        <v>35</v>
      </c>
      <c r="B30" s="9">
        <v>535</v>
      </c>
      <c r="C30" s="4"/>
      <c r="D30" s="23"/>
      <c r="E30" s="23"/>
      <c r="F30" s="23"/>
      <c r="G30" s="4"/>
      <c r="H30" s="4"/>
    </row>
    <row r="31" spans="1:8" ht="15.75" x14ac:dyDescent="0.25">
      <c r="A31" s="18"/>
      <c r="B31" s="19"/>
      <c r="C31" s="4"/>
      <c r="D31" s="23"/>
      <c r="E31" s="23"/>
      <c r="F31" s="23"/>
      <c r="G31" s="4"/>
      <c r="H31" s="4"/>
    </row>
    <row r="32" spans="1:8" ht="15.75" x14ac:dyDescent="0.25">
      <c r="A32" s="8" t="s">
        <v>36</v>
      </c>
      <c r="B32" s="24">
        <v>0</v>
      </c>
      <c r="C32" s="4"/>
      <c r="D32" s="4"/>
      <c r="E32" s="4"/>
      <c r="F32" s="4"/>
      <c r="G32" s="4"/>
    </row>
    <row r="33" spans="1:7" ht="15.75" x14ac:dyDescent="0.25">
      <c r="A33" s="8" t="s">
        <v>37</v>
      </c>
      <c r="B33" s="9">
        <v>2500</v>
      </c>
      <c r="C33" s="4"/>
      <c r="D33" s="4"/>
      <c r="E33" s="4"/>
      <c r="F33" s="4"/>
      <c r="G33" s="4"/>
    </row>
    <row r="34" spans="1:7" ht="15.75" x14ac:dyDescent="0.25">
      <c r="A34" s="8" t="s">
        <v>38</v>
      </c>
      <c r="B34" s="9">
        <v>1</v>
      </c>
      <c r="C34" s="4"/>
      <c r="D34" s="4"/>
      <c r="E34" s="4"/>
      <c r="F34" s="4"/>
      <c r="G34" s="4"/>
    </row>
    <row r="35" spans="1:7" ht="15.75" x14ac:dyDescent="0.25">
      <c r="A35" s="8" t="s">
        <v>39</v>
      </c>
      <c r="B35" s="25">
        <f>H27*12*B34</f>
        <v>32046.58712448</v>
      </c>
      <c r="C35" s="4"/>
      <c r="D35" s="17"/>
      <c r="E35" s="4"/>
      <c r="F35" s="4"/>
      <c r="G35" s="4"/>
    </row>
    <row r="36" spans="1:7" ht="15.75" x14ac:dyDescent="0.25">
      <c r="A36" s="8" t="s">
        <v>40</v>
      </c>
      <c r="B36" s="25">
        <f>SUM(B26:B33)+B35</f>
        <v>42241.58712448</v>
      </c>
      <c r="C36" s="4"/>
      <c r="D36" s="4"/>
      <c r="E36" s="4"/>
      <c r="F36" s="4"/>
      <c r="G36" s="4"/>
    </row>
    <row r="37" spans="1:7" ht="15.75" x14ac:dyDescent="0.25">
      <c r="A37" s="8" t="s">
        <v>41</v>
      </c>
      <c r="B37" s="25">
        <f>B36/12*B40</f>
        <v>2053.4104852177779</v>
      </c>
      <c r="C37" s="4"/>
      <c r="D37" s="4"/>
      <c r="E37" s="4"/>
      <c r="F37" s="4"/>
      <c r="G37" s="4"/>
    </row>
    <row r="38" spans="1:7" ht="15.75" x14ac:dyDescent="0.25">
      <c r="A38" s="4"/>
      <c r="B38" s="17"/>
      <c r="C38" s="4"/>
      <c r="D38" s="4"/>
      <c r="E38" s="4"/>
      <c r="F38" s="4"/>
      <c r="G38" s="4"/>
    </row>
    <row r="39" spans="1:7" ht="15.75" x14ac:dyDescent="0.25">
      <c r="A39" s="52" t="s">
        <v>42</v>
      </c>
      <c r="B39" s="54"/>
      <c r="C39" s="4"/>
      <c r="D39" s="4"/>
      <c r="E39" s="4"/>
      <c r="F39" s="4"/>
      <c r="G39" s="4"/>
    </row>
    <row r="40" spans="1:7" ht="15.75" x14ac:dyDescent="0.25">
      <c r="A40" s="8" t="s">
        <v>43</v>
      </c>
      <c r="B40" s="26">
        <f>E10*E17/180</f>
        <v>0.58333333333333337</v>
      </c>
      <c r="C40" s="4"/>
      <c r="D40" s="4"/>
      <c r="E40" s="4"/>
      <c r="F40" s="4"/>
      <c r="G40" s="4"/>
    </row>
    <row r="41" spans="1:7" ht="15.75" x14ac:dyDescent="0.25">
      <c r="A41" s="8" t="s">
        <v>44</v>
      </c>
      <c r="B41" s="27">
        <v>0.18</v>
      </c>
      <c r="C41" s="4"/>
      <c r="D41" s="4"/>
      <c r="E41" s="4"/>
      <c r="F41" s="4"/>
      <c r="G41" s="4"/>
    </row>
    <row r="42" spans="1:7" ht="15.75" x14ac:dyDescent="0.25">
      <c r="A42" s="8" t="s">
        <v>45</v>
      </c>
      <c r="B42" s="25">
        <f>B41*E13*B40</f>
        <v>4725</v>
      </c>
      <c r="C42" s="4"/>
      <c r="D42" s="4"/>
      <c r="E42" s="4"/>
      <c r="F42" s="4"/>
      <c r="G42" s="4"/>
    </row>
    <row r="43" spans="1:7" ht="15.75" x14ac:dyDescent="0.25">
      <c r="A43" s="8" t="s">
        <v>46</v>
      </c>
      <c r="B43" s="25">
        <f>B42/10</f>
        <v>472.5</v>
      </c>
      <c r="C43" s="4"/>
      <c r="D43" s="4"/>
      <c r="E43" s="4"/>
      <c r="F43" s="4"/>
      <c r="G43" s="4"/>
    </row>
    <row r="44" spans="1:7" ht="15.75" x14ac:dyDescent="0.25">
      <c r="A44" s="28" t="s">
        <v>47</v>
      </c>
      <c r="B44" s="15">
        <f>(B43+B37+B23)/(1-F23)</f>
        <v>9885.6260481040208</v>
      </c>
      <c r="C44" s="4"/>
      <c r="D44" s="4"/>
      <c r="E44" s="4"/>
      <c r="F44" s="4"/>
      <c r="G44" s="4"/>
    </row>
    <row r="45" spans="1:7" ht="15.75" x14ac:dyDescent="0.25">
      <c r="A45" s="8" t="s">
        <v>48</v>
      </c>
      <c r="B45" s="25">
        <f>F23*B44</f>
        <v>593.1375628862412</v>
      </c>
      <c r="C45" s="29" t="s">
        <v>49</v>
      </c>
      <c r="D45" s="29" t="s">
        <v>50</v>
      </c>
      <c r="E45" s="4"/>
      <c r="F45" s="4"/>
      <c r="G45" s="4"/>
    </row>
    <row r="46" spans="1:7" ht="15.75" x14ac:dyDescent="0.25">
      <c r="A46" s="28" t="s">
        <v>51</v>
      </c>
      <c r="B46" s="15">
        <f>B44/(E17*E7)</f>
        <v>4.5263855531611821</v>
      </c>
      <c r="C46" s="28">
        <f>B46*E7</f>
        <v>470.74409752876295</v>
      </c>
      <c r="D46" s="30">
        <f>B46*E7*E17</f>
        <v>9885.6260481040226</v>
      </c>
      <c r="E46" s="4"/>
      <c r="F46" s="4"/>
      <c r="G46" s="4"/>
    </row>
    <row r="47" spans="1:7" ht="15.75" x14ac:dyDescent="0.25">
      <c r="A47" s="31" t="s">
        <v>52</v>
      </c>
      <c r="B47" s="15">
        <f>(E6*0.1)*B46/100</f>
        <v>0.38021638646553929</v>
      </c>
      <c r="C47" s="28">
        <f>B47*E6</f>
        <v>31.9381764631053</v>
      </c>
      <c r="D47" s="30">
        <f>B47*E6*E17</f>
        <v>670.70170572521135</v>
      </c>
      <c r="E47" s="4"/>
      <c r="F47" s="4"/>
      <c r="G47" s="4"/>
    </row>
    <row r="48" spans="1:7" ht="15.75" x14ac:dyDescent="0.25">
      <c r="A48" s="28" t="s">
        <v>53</v>
      </c>
      <c r="B48" s="32">
        <f>B46+B47</f>
        <v>4.9066019396267215</v>
      </c>
      <c r="C48" s="15">
        <f>C46+C47</f>
        <v>502.68227399186827</v>
      </c>
      <c r="D48" s="15">
        <f>D46+D47</f>
        <v>10556.327753829233</v>
      </c>
      <c r="E48" s="4"/>
      <c r="F48" s="4"/>
      <c r="G48" s="4"/>
    </row>
    <row r="49" spans="1:8" ht="15.75" x14ac:dyDescent="0.25">
      <c r="A49" s="4"/>
      <c r="B49" s="4"/>
      <c r="C49" s="4"/>
      <c r="D49" s="4"/>
      <c r="E49" s="4"/>
      <c r="F49" s="4"/>
      <c r="G49" s="4"/>
    </row>
    <row r="50" spans="1:8" ht="15.75" x14ac:dyDescent="0.25">
      <c r="A50" s="33" t="s">
        <v>54</v>
      </c>
      <c r="B50" s="33" t="s">
        <v>55</v>
      </c>
      <c r="C50" s="33" t="s">
        <v>56</v>
      </c>
      <c r="D50" s="33" t="s">
        <v>48</v>
      </c>
      <c r="E50" s="33" t="s">
        <v>57</v>
      </c>
      <c r="F50" s="33" t="s">
        <v>45</v>
      </c>
      <c r="G50" s="33" t="s">
        <v>58</v>
      </c>
    </row>
    <row r="51" spans="1:8" ht="15.75" x14ac:dyDescent="0.25">
      <c r="A51" s="34">
        <f>B44</f>
        <v>9885.6260481040208</v>
      </c>
      <c r="B51" s="34">
        <f>B20</f>
        <v>3980.34</v>
      </c>
      <c r="C51" s="35">
        <f>B21</f>
        <v>2786.2379999999998</v>
      </c>
      <c r="D51" s="34">
        <f>B45</f>
        <v>593.1375628862412</v>
      </c>
      <c r="E51" s="34">
        <f>B35/12*B40</f>
        <v>1557.8202074400001</v>
      </c>
      <c r="F51" s="34">
        <f>B43</f>
        <v>472.5</v>
      </c>
      <c r="G51" s="34">
        <f>A51-B51-C51-D51-E51-F51</f>
        <v>495.59027777777965</v>
      </c>
    </row>
    <row r="52" spans="1:8" ht="15.75" x14ac:dyDescent="0.25">
      <c r="A52" s="36">
        <v>1</v>
      </c>
      <c r="B52" s="36">
        <f t="shared" ref="B52:G52" si="0">B51/$A$51</f>
        <v>0.40263914299726072</v>
      </c>
      <c r="C52" s="36">
        <f t="shared" si="0"/>
        <v>0.28184740009808246</v>
      </c>
      <c r="D52" s="36">
        <f t="shared" si="0"/>
        <v>0.06</v>
      </c>
      <c r="E52" s="36">
        <f t="shared" si="0"/>
        <v>0.1575843755225575</v>
      </c>
      <c r="F52" s="36">
        <f t="shared" si="0"/>
        <v>4.7796669396635884E-2</v>
      </c>
      <c r="G52" s="36">
        <f t="shared" si="0"/>
        <v>5.0132411985463449E-2</v>
      </c>
    </row>
    <row r="53" spans="1:8" ht="15.75" x14ac:dyDescent="0.25">
      <c r="A53" s="4"/>
      <c r="B53" s="4"/>
      <c r="C53" s="4"/>
      <c r="D53" s="4"/>
      <c r="E53" s="4"/>
      <c r="F53" s="4"/>
      <c r="G53" s="4"/>
    </row>
    <row r="54" spans="1:8" ht="15.75" x14ac:dyDescent="0.25">
      <c r="A54" s="37"/>
      <c r="B54" s="4"/>
      <c r="C54" s="4"/>
      <c r="D54" s="4"/>
      <c r="E54" s="4"/>
      <c r="F54" s="4"/>
      <c r="G54" s="4"/>
    </row>
    <row r="55" spans="1:8" ht="15.75" x14ac:dyDescent="0.25">
      <c r="A55" s="46"/>
      <c r="B55" s="46"/>
      <c r="C55" s="46"/>
      <c r="D55" s="46"/>
      <c r="E55" s="46"/>
      <c r="F55" s="46"/>
      <c r="G55" s="46"/>
      <c r="H55" s="4"/>
    </row>
    <row r="56" spans="1:8" ht="15.75" x14ac:dyDescent="0.25">
      <c r="A56" s="38"/>
      <c r="B56" s="4"/>
      <c r="C56" s="4"/>
      <c r="D56" s="4"/>
      <c r="E56" s="4"/>
      <c r="F56" s="4"/>
      <c r="G56" s="4"/>
    </row>
    <row r="57" spans="1:8" ht="15.75" x14ac:dyDescent="0.25">
      <c r="A57" s="38"/>
      <c r="B57" s="4"/>
      <c r="C57" s="4"/>
      <c r="D57" s="4"/>
      <c r="E57" s="4"/>
      <c r="F57" s="4"/>
      <c r="G57" s="4"/>
    </row>
    <row r="58" spans="1:8" ht="15.75" x14ac:dyDescent="0.25">
      <c r="A58" s="38" t="s">
        <v>59</v>
      </c>
      <c r="B58" s="4"/>
      <c r="C58" s="39">
        <f>C48</f>
        <v>502.68227399186827</v>
      </c>
      <c r="D58" s="4"/>
      <c r="E58" s="4"/>
      <c r="F58" s="4"/>
      <c r="G58" s="4"/>
    </row>
  </sheetData>
  <mergeCells count="18">
    <mergeCell ref="A55:G55"/>
    <mergeCell ref="A10:D10"/>
    <mergeCell ref="A11:D11"/>
    <mergeCell ref="B12:E12"/>
    <mergeCell ref="A13:D13"/>
    <mergeCell ref="A14:D14"/>
    <mergeCell ref="A15:D15"/>
    <mergeCell ref="A16:D16"/>
    <mergeCell ref="A17:D17"/>
    <mergeCell ref="A19:F19"/>
    <mergeCell ref="A25:H25"/>
    <mergeCell ref="A39:B39"/>
    <mergeCell ref="A9:D9"/>
    <mergeCell ref="A1:H1"/>
    <mergeCell ref="A5:D5"/>
    <mergeCell ref="A6:D6"/>
    <mergeCell ref="A7:D7"/>
    <mergeCell ref="A8:D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adm</cp:lastModifiedBy>
  <dcterms:created xsi:type="dcterms:W3CDTF">2022-07-11T17:46:28Z</dcterms:created>
  <dcterms:modified xsi:type="dcterms:W3CDTF">2022-07-12T18:29:23Z</dcterms:modified>
</cp:coreProperties>
</file>